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80" windowWidth="26595" windowHeight="12495"/>
  </bookViews>
  <sheets>
    <sheet name="Cost Analysis" sheetId="4" r:id="rId1"/>
  </sheets>
  <definedNames>
    <definedName name="_xlnm.Print_Area" localSheetId="0">'Cost Analysis'!$A$1:$N$47</definedName>
  </definedNames>
  <calcPr calcId="145621"/>
</workbook>
</file>

<file path=xl/calcChain.xml><?xml version="1.0" encoding="utf-8"?>
<calcChain xmlns="http://schemas.openxmlformats.org/spreadsheetml/2006/main">
  <c r="H38" i="4" l="1"/>
  <c r="N38" i="4" s="1"/>
  <c r="N37" i="4"/>
  <c r="H37" i="4"/>
  <c r="H36" i="4"/>
  <c r="N36" i="4" s="1"/>
  <c r="C32" i="4"/>
  <c r="D32" i="4" s="1"/>
  <c r="C31" i="4"/>
  <c r="D31" i="4" s="1"/>
  <c r="C27" i="4"/>
  <c r="D27" i="4" s="1"/>
  <c r="C26" i="4"/>
  <c r="D26" i="4" s="1"/>
  <c r="F21" i="4"/>
  <c r="G21" i="4" s="1"/>
  <c r="H21" i="4" s="1"/>
  <c r="I21" i="4" s="1"/>
  <c r="J21" i="4" s="1"/>
  <c r="K21" i="4" s="1"/>
  <c r="L21" i="4" s="1"/>
  <c r="M21" i="4" s="1"/>
  <c r="E21" i="4"/>
  <c r="D21" i="4"/>
  <c r="E20" i="4"/>
  <c r="F20" i="4" s="1"/>
  <c r="G20" i="4" s="1"/>
  <c r="H20" i="4" s="1"/>
  <c r="I20" i="4" s="1"/>
  <c r="J20" i="4" s="1"/>
  <c r="K20" i="4" s="1"/>
  <c r="L20" i="4" s="1"/>
  <c r="M20" i="4" s="1"/>
  <c r="D20" i="4"/>
  <c r="D16" i="4"/>
  <c r="C15" i="4"/>
  <c r="D15" i="4" s="1"/>
  <c r="D14" i="4"/>
  <c r="E14" i="4" s="1"/>
  <c r="F14" i="4" s="1"/>
  <c r="G14" i="4" s="1"/>
  <c r="H14" i="4" s="1"/>
  <c r="I14" i="4" s="1"/>
  <c r="J14" i="4" s="1"/>
  <c r="K14" i="4" s="1"/>
  <c r="L14" i="4" s="1"/>
  <c r="M14" i="4" s="1"/>
  <c r="C13" i="4"/>
  <c r="D13" i="4" s="1"/>
  <c r="E26" i="4" l="1"/>
  <c r="F26" i="4" s="1"/>
  <c r="G26" i="4" s="1"/>
  <c r="H26" i="4" s="1"/>
  <c r="I26" i="4" s="1"/>
  <c r="J26" i="4" s="1"/>
  <c r="K26" i="4" s="1"/>
  <c r="L26" i="4" s="1"/>
  <c r="M26" i="4" s="1"/>
  <c r="D42" i="4"/>
  <c r="E15" i="4"/>
  <c r="E27" i="4"/>
  <c r="F27" i="4" s="1"/>
  <c r="G27" i="4" s="1"/>
  <c r="H27" i="4" s="1"/>
  <c r="I27" i="4" s="1"/>
  <c r="J27" i="4" s="1"/>
  <c r="K27" i="4" s="1"/>
  <c r="L27" i="4" s="1"/>
  <c r="M27" i="4" s="1"/>
  <c r="N27" i="4"/>
  <c r="E31" i="4"/>
  <c r="F31" i="4" s="1"/>
  <c r="G31" i="4" s="1"/>
  <c r="H31" i="4" s="1"/>
  <c r="I31" i="4" s="1"/>
  <c r="J31" i="4" s="1"/>
  <c r="K31" i="4" s="1"/>
  <c r="L31" i="4" s="1"/>
  <c r="M31" i="4" s="1"/>
  <c r="N31" i="4"/>
  <c r="D41" i="4"/>
  <c r="D44" i="4" s="1"/>
  <c r="D45" i="4" s="1"/>
  <c r="E13" i="4"/>
  <c r="E32" i="4"/>
  <c r="F32" i="4" s="1"/>
  <c r="G32" i="4" s="1"/>
  <c r="H32" i="4" s="1"/>
  <c r="I32" i="4" s="1"/>
  <c r="J32" i="4" s="1"/>
  <c r="K32" i="4" s="1"/>
  <c r="L32" i="4" s="1"/>
  <c r="M32" i="4" s="1"/>
  <c r="N21" i="4"/>
  <c r="N14" i="4"/>
  <c r="E16" i="4"/>
  <c r="F16" i="4" s="1"/>
  <c r="G16" i="4" s="1"/>
  <c r="H16" i="4" s="1"/>
  <c r="I16" i="4" s="1"/>
  <c r="J16" i="4" s="1"/>
  <c r="K16" i="4" s="1"/>
  <c r="L16" i="4" s="1"/>
  <c r="M16" i="4" s="1"/>
  <c r="N20" i="4"/>
  <c r="F13" i="4" l="1"/>
  <c r="E41" i="4"/>
  <c r="E44" i="4" s="1"/>
  <c r="E45" i="4" s="1"/>
  <c r="N16" i="4"/>
  <c r="E42" i="4"/>
  <c r="F15" i="4"/>
  <c r="N32" i="4"/>
  <c r="N26" i="4"/>
  <c r="F42" i="4" l="1"/>
  <c r="G15" i="4"/>
  <c r="F41" i="4"/>
  <c r="F44" i="4" s="1"/>
  <c r="F45" i="4" s="1"/>
  <c r="G13" i="4"/>
  <c r="G41" i="4" l="1"/>
  <c r="H13" i="4"/>
  <c r="G42" i="4"/>
  <c r="H15" i="4"/>
  <c r="H42" i="4" l="1"/>
  <c r="I15" i="4"/>
  <c r="H41" i="4"/>
  <c r="H44" i="4" s="1"/>
  <c r="H45" i="4" s="1"/>
  <c r="I13" i="4"/>
  <c r="G44" i="4"/>
  <c r="G45" i="4" s="1"/>
  <c r="J13" i="4" l="1"/>
  <c r="I41" i="4"/>
  <c r="I42" i="4"/>
  <c r="J15" i="4"/>
  <c r="J42" i="4" l="1"/>
  <c r="K15" i="4"/>
  <c r="I44" i="4"/>
  <c r="I45" i="4" s="1"/>
  <c r="J41" i="4"/>
  <c r="J44" i="4" s="1"/>
  <c r="J45" i="4" s="1"/>
  <c r="K13" i="4"/>
  <c r="K41" i="4" l="1"/>
  <c r="L13" i="4"/>
  <c r="L15" i="4"/>
  <c r="K42" i="4"/>
  <c r="L41" i="4" l="1"/>
  <c r="M13" i="4"/>
  <c r="L42" i="4"/>
  <c r="M15" i="4"/>
  <c r="K44" i="4"/>
  <c r="K45" i="4" s="1"/>
  <c r="M42" i="4" l="1"/>
  <c r="N15" i="4"/>
  <c r="N42" i="4" s="1"/>
  <c r="M41" i="4"/>
  <c r="M44" i="4" s="1"/>
  <c r="M45" i="4" s="1"/>
  <c r="N13" i="4"/>
  <c r="N41" i="4" s="1"/>
  <c r="N44" i="4" s="1"/>
  <c r="N45" i="4" s="1"/>
  <c r="L44" i="4"/>
  <c r="L45" i="4" s="1"/>
</calcChain>
</file>

<file path=xl/sharedStrings.xml><?xml version="1.0" encoding="utf-8"?>
<sst xmlns="http://schemas.openxmlformats.org/spreadsheetml/2006/main" count="60" uniqueCount="49">
  <si>
    <t>Compare the costs of running a Desert Air Cube Heater (5.0M BTUs) versus other heaters</t>
  </si>
  <si>
    <r>
      <t xml:space="preserve">How do the </t>
    </r>
    <r>
      <rPr>
        <u/>
        <sz val="11"/>
        <color theme="1"/>
        <rFont val="Calibri"/>
        <family val="2"/>
        <scheme val="minor"/>
      </rPr>
      <t>hard costs</t>
    </r>
    <r>
      <rPr>
        <sz val="11"/>
        <color theme="1"/>
        <rFont val="Calibri"/>
        <family val="2"/>
        <scheme val="minor"/>
      </rPr>
      <t xml:space="preserve"> compare? Fill in your own basic assumptions in the yellow cells to see estimates.</t>
    </r>
  </si>
  <si>
    <t>General assumptions</t>
  </si>
  <si>
    <t>Months of heater operation in a year</t>
  </si>
  <si>
    <t>Diesel fuel price per litre</t>
  </si>
  <si>
    <t>Mechanic hourly rate</t>
  </si>
  <si>
    <t>Cost of Living Adjustment (Inflation rate)</t>
  </si>
  <si>
    <t>Annual Costs</t>
  </si>
  <si>
    <t>Base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</si>
  <si>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</si>
  <si>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</si>
  <si>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</si>
  <si>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</si>
  <si>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</si>
  <si>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</si>
  <si>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</si>
  <si>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</si>
  <si>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</si>
  <si>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</si>
  <si>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Total</t>
  </si>
  <si>
    <t xml:space="preserve">Operations </t>
  </si>
  <si>
    <t>Monthly cost to maintain 24 hour average outlet temperature of 138°C (280°F) in -18°C (0°F) average weather</t>
  </si>
  <si>
    <t>Fuel use - 2000L per day</t>
  </si>
  <si>
    <t>Generator rental - 80 amps min.</t>
  </si>
  <si>
    <t>Comparable heaters</t>
  </si>
  <si>
    <t>Fuel use - 2180 L per day</t>
  </si>
  <si>
    <t>Generator rental - 200 amps min.</t>
  </si>
  <si>
    <t>Shipping/Moves</t>
  </si>
  <si>
    <t>Cost to move heater to different locations on a site, once per month in operating season</t>
  </si>
  <si>
    <t>use an on-site loader</t>
  </si>
  <si>
    <t>Crane rental per move</t>
  </si>
  <si>
    <t>(loader not recommended)</t>
  </si>
  <si>
    <t>Monthly Maintenance</t>
  </si>
  <si>
    <t>Fuel filter changes</t>
  </si>
  <si>
    <t>10 minutes at mechanic hourly rate</t>
  </si>
  <si>
    <t>30 minutes at mechanic hourly rate</t>
  </si>
  <si>
    <t>Annual Maintenance (Overhaul)</t>
  </si>
  <si>
    <t>All heaters require an annual overhaul prior to the heating season to ensure continuous and reliable operation</t>
  </si>
  <si>
    <t>2-3 hours at mechanic hourly rate</t>
  </si>
  <si>
    <t>20-30 hours at mechanic hourly rate</t>
  </si>
  <si>
    <t>Repairs</t>
  </si>
  <si>
    <t>After five years, comparable heaters require controller repairs from use and structural repairs from moves.</t>
  </si>
  <si>
    <t>repairs unlikely</t>
  </si>
  <si>
    <t>controller repairs</t>
  </si>
  <si>
    <t>structural repairs (e.g., frame straightening)</t>
  </si>
  <si>
    <t>TOTAL</t>
  </si>
  <si>
    <t>Total Annual</t>
  </si>
  <si>
    <t>Difference (Savings)</t>
  </si>
  <si>
    <t>Desert Air 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</si>
</sst>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4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38">
    <xf numFmtId="0" fontId="0" fillId="0" borderId="0" xfId="0"/>
    <xf numFmtId="0" fontId="4" fillId="3" borderId="0" xfId="0" applyFont="1" applyFill="1"/>
    <xf numFmtId="0" fontId="0" fillId="3" borderId="0" xfId="0" applyFill="1"/>
    <xf numFmtId="0" fontId="6" fillId="3" borderId="0" xfId="0" applyFont="1" applyFill="1"/>
    <xf numFmtId="0" fontId="7" fillId="4" borderId="0" xfId="0" applyFont="1" applyFill="1"/>
    <xf numFmtId="0" fontId="2" fillId="4" borderId="0" xfId="0" applyFont="1" applyFill="1"/>
    <xf numFmtId="0" fontId="0" fillId="3" borderId="0" xfId="0" applyFill="1" applyAlignment="1">
      <alignment horizontal="center"/>
    </xf>
    <xf numFmtId="0" fontId="8" fillId="2" borderId="1" xfId="2" applyFont="1" applyAlignment="1">
      <alignment horizontal="center"/>
    </xf>
    <xf numFmtId="0" fontId="0" fillId="3" borderId="0" xfId="0" applyFill="1" applyAlignment="1">
      <alignment horizontal="left" indent="1"/>
    </xf>
    <xf numFmtId="8" fontId="8" fillId="2" borderId="1" xfId="2" applyNumberFormat="1" applyFont="1" applyAlignment="1">
      <alignment horizontal="center"/>
    </xf>
    <xf numFmtId="8" fontId="0" fillId="3" borderId="0" xfId="0" applyNumberFormat="1" applyFill="1" applyAlignment="1">
      <alignment horizontal="center"/>
    </xf>
    <xf numFmtId="9" fontId="8" fillId="2" borderId="1" xfId="2" applyNumberFormat="1" applyFont="1" applyAlignment="1">
      <alignment horizontal="center"/>
    </xf>
    <xf numFmtId="9" fontId="0" fillId="3" borderId="0" xfId="0" applyNumberForma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3" borderId="0" xfId="0" applyFont="1" applyFill="1"/>
    <xf numFmtId="0" fontId="3" fillId="5" borderId="0" xfId="0" applyFont="1" applyFill="1"/>
    <xf numFmtId="0" fontId="0" fillId="5" borderId="0" xfId="0" applyFill="1" applyAlignment="1">
      <alignment horizontal="left"/>
    </xf>
    <xf numFmtId="6" fontId="0" fillId="5" borderId="0" xfId="0" applyNumberFormat="1" applyFill="1" applyAlignment="1">
      <alignment horizontal="center"/>
    </xf>
    <xf numFmtId="6" fontId="0" fillId="5" borderId="0" xfId="0" applyNumberFormat="1" applyFill="1"/>
    <xf numFmtId="0" fontId="0" fillId="5" borderId="0" xfId="0" applyFill="1"/>
    <xf numFmtId="6" fontId="8" fillId="2" borderId="1" xfId="2" applyNumberFormat="1" applyFont="1" applyAlignment="1">
      <alignment horizontal="center"/>
    </xf>
    <xf numFmtId="0" fontId="3" fillId="6" borderId="0" xfId="0" applyFont="1" applyFill="1"/>
    <xf numFmtId="0" fontId="0" fillId="6" borderId="0" xfId="0" applyFill="1" applyAlignment="1">
      <alignment horizontal="left"/>
    </xf>
    <xf numFmtId="6" fontId="0" fillId="6" borderId="0" xfId="0" applyNumberFormat="1" applyFill="1" applyAlignment="1">
      <alignment horizontal="center"/>
    </xf>
    <xf numFmtId="6" fontId="0" fillId="6" borderId="0" xfId="0" applyNumberFormat="1" applyFill="1"/>
    <xf numFmtId="0" fontId="0" fillId="6" borderId="0" xfId="0" applyFill="1"/>
    <xf numFmtId="0" fontId="10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6" fontId="0" fillId="3" borderId="0" xfId="0" applyNumberFormat="1" applyFill="1"/>
    <xf numFmtId="0" fontId="3" fillId="6" borderId="0" xfId="0" applyFont="1" applyFill="1" applyAlignment="1">
      <alignment vertical="top"/>
    </xf>
    <xf numFmtId="0" fontId="0" fillId="6" borderId="0" xfId="0" applyFill="1" applyAlignment="1">
      <alignment horizontal="left" wrapText="1"/>
    </xf>
    <xf numFmtId="9" fontId="0" fillId="3" borderId="0" xfId="0" applyNumberFormat="1" applyFill="1"/>
    <xf numFmtId="0" fontId="3" fillId="3" borderId="0" xfId="0" applyFont="1" applyFill="1"/>
    <xf numFmtId="0" fontId="11" fillId="3" borderId="2" xfId="0" applyFont="1" applyFill="1" applyBorder="1"/>
    <xf numFmtId="0" fontId="12" fillId="3" borderId="3" xfId="0" applyFont="1" applyFill="1" applyBorder="1"/>
    <xf numFmtId="6" fontId="12" fillId="3" borderId="3" xfId="0" applyNumberFormat="1" applyFont="1" applyFill="1" applyBorder="1"/>
    <xf numFmtId="6" fontId="12" fillId="3" borderId="4" xfId="0" applyNumberFormat="1" applyFont="1" applyFill="1" applyBorder="1"/>
    <xf numFmtId="164" fontId="13" fillId="3" borderId="0" xfId="1" applyNumberFormat="1" applyFont="1" applyFill="1"/>
  </cellXfs>
  <cellStyles count="3">
    <cellStyle name="Normal" xfId="0" builtinId="0"/>
    <cellStyle name="Note" xfId="2" builtin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Normal="100" workbookViewId="0">
      <selection activeCell="C5" sqref="C5"/>
    </sheetView>
  </sheetViews>
  <sheetFormatPr defaultRowHeight="15" x14ac:dyDescent="0.25"/>
  <cols>
    <col min="1" max="1" width="19.7109375" customWidth="1"/>
    <col min="2" max="2" width="39" customWidth="1"/>
    <col min="3" max="14" width="11.28515625" customWidth="1"/>
  </cols>
  <sheetData>
    <row r="1" spans="1:15" s="2" customFormat="1" ht="21" x14ac:dyDescent="0.35">
      <c r="A1" s="1" t="s">
        <v>0</v>
      </c>
    </row>
    <row r="2" spans="1:15" s="2" customFormat="1" x14ac:dyDescent="0.25">
      <c r="A2" s="2" t="s">
        <v>1</v>
      </c>
      <c r="O2" s="3"/>
    </row>
    <row r="3" spans="1:15" s="2" customFormat="1" x14ac:dyDescent="0.25">
      <c r="O3" s="3"/>
    </row>
    <row r="4" spans="1:15" ht="18.75" x14ac:dyDescent="0.3">
      <c r="A4" s="4" t="s">
        <v>2</v>
      </c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2"/>
    </row>
    <row r="5" spans="1:15" x14ac:dyDescent="0.25">
      <c r="A5" s="2" t="s">
        <v>3</v>
      </c>
      <c r="B5" s="2"/>
      <c r="C5" s="7">
        <v>5</v>
      </c>
      <c r="D5" s="8"/>
      <c r="E5" s="6"/>
      <c r="F5" s="6"/>
      <c r="G5" s="6"/>
      <c r="H5" s="6"/>
      <c r="I5" s="6"/>
      <c r="J5" s="6"/>
      <c r="K5" s="6"/>
      <c r="L5" s="6"/>
      <c r="M5" s="6"/>
      <c r="N5" s="2"/>
    </row>
    <row r="6" spans="1:15" x14ac:dyDescent="0.25">
      <c r="A6" s="2" t="s">
        <v>4</v>
      </c>
      <c r="B6" s="2"/>
      <c r="C6" s="9">
        <v>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2"/>
    </row>
    <row r="7" spans="1:15" x14ac:dyDescent="0.25">
      <c r="A7" s="2" t="s">
        <v>5</v>
      </c>
      <c r="B7" s="2"/>
      <c r="C7" s="9">
        <v>100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2"/>
    </row>
    <row r="8" spans="1:15" x14ac:dyDescent="0.25">
      <c r="A8" s="2" t="s">
        <v>6</v>
      </c>
      <c r="B8" s="2"/>
      <c r="C8" s="11">
        <v>0.02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2"/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5" ht="18.75" x14ac:dyDescent="0.3">
      <c r="A10" s="4" t="s">
        <v>7</v>
      </c>
      <c r="B10" s="5"/>
      <c r="C10" s="13" t="s">
        <v>8</v>
      </c>
      <c r="D10" s="13" t="s">
        <v>9</v>
      </c>
      <c r="E10" s="13" t="s">
        <v>10</v>
      </c>
      <c r="F10" s="13" t="s">
        <v>11</v>
      </c>
      <c r="G10" s="13" t="s">
        <v>12</v>
      </c>
      <c r="H10" s="13" t="s">
        <v>13</v>
      </c>
      <c r="I10" s="13" t="s">
        <v>14</v>
      </c>
      <c r="J10" s="13" t="s">
        <v>15</v>
      </c>
      <c r="K10" s="13" t="s">
        <v>16</v>
      </c>
      <c r="L10" s="13" t="s">
        <v>17</v>
      </c>
      <c r="M10" s="13" t="s">
        <v>18</v>
      </c>
      <c r="N10" s="13" t="s">
        <v>19</v>
      </c>
    </row>
    <row r="11" spans="1:15" x14ac:dyDescent="0.25">
      <c r="A11" s="14" t="s">
        <v>20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x14ac:dyDescent="0.25">
      <c r="A12" s="2" t="s">
        <v>21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x14ac:dyDescent="0.25">
      <c r="A13" s="15" t="s">
        <v>48</v>
      </c>
      <c r="B13" s="16" t="s">
        <v>22</v>
      </c>
      <c r="C13" s="17">
        <f>2000*$C$6*30</f>
        <v>120000</v>
      </c>
      <c r="D13" s="18">
        <f>+C13*$C$5</f>
        <v>600000</v>
      </c>
      <c r="E13" s="18">
        <f t="shared" ref="E13:M16" si="0">+D13*(1+$C$8)</f>
        <v>612000</v>
      </c>
      <c r="F13" s="18">
        <f t="shared" si="0"/>
        <v>624240</v>
      </c>
      <c r="G13" s="18">
        <f t="shared" si="0"/>
        <v>636724.80000000005</v>
      </c>
      <c r="H13" s="18">
        <f t="shared" si="0"/>
        <v>649459.29600000009</v>
      </c>
      <c r="I13" s="18">
        <f t="shared" si="0"/>
        <v>662448.48192000005</v>
      </c>
      <c r="J13" s="18">
        <f t="shared" si="0"/>
        <v>675697.45155840006</v>
      </c>
      <c r="K13" s="18">
        <f t="shared" si="0"/>
        <v>689211.40058956807</v>
      </c>
      <c r="L13" s="18">
        <f t="shared" si="0"/>
        <v>702995.62860135944</v>
      </c>
      <c r="M13" s="18">
        <f t="shared" si="0"/>
        <v>717055.54117338662</v>
      </c>
      <c r="N13" s="18">
        <f>+SUM(D13:M13)</f>
        <v>6569832.5998427132</v>
      </c>
    </row>
    <row r="14" spans="1:15" x14ac:dyDescent="0.25">
      <c r="A14" s="19"/>
      <c r="B14" s="16" t="s">
        <v>23</v>
      </c>
      <c r="C14" s="20">
        <v>3400</v>
      </c>
      <c r="D14" s="18">
        <f>+C14*$C$5</f>
        <v>17000</v>
      </c>
      <c r="E14" s="18">
        <f t="shared" si="0"/>
        <v>17340</v>
      </c>
      <c r="F14" s="18">
        <f t="shared" si="0"/>
        <v>17686.8</v>
      </c>
      <c r="G14" s="18">
        <f t="shared" si="0"/>
        <v>18040.536</v>
      </c>
      <c r="H14" s="18">
        <f t="shared" si="0"/>
        <v>18401.346720000001</v>
      </c>
      <c r="I14" s="18">
        <f t="shared" si="0"/>
        <v>18769.373654400002</v>
      </c>
      <c r="J14" s="18">
        <f t="shared" si="0"/>
        <v>19144.761127488004</v>
      </c>
      <c r="K14" s="18">
        <f t="shared" si="0"/>
        <v>19527.656350037763</v>
      </c>
      <c r="L14" s="18">
        <f t="shared" si="0"/>
        <v>19918.209477038519</v>
      </c>
      <c r="M14" s="18">
        <f t="shared" si="0"/>
        <v>20316.57366657929</v>
      </c>
      <c r="N14" s="18">
        <f>+SUM(D14:M14)</f>
        <v>186145.2569955436</v>
      </c>
    </row>
    <row r="15" spans="1:15" x14ac:dyDescent="0.25">
      <c r="A15" s="21" t="s">
        <v>24</v>
      </c>
      <c r="B15" s="22" t="s">
        <v>25</v>
      </c>
      <c r="C15" s="23">
        <f>2180*$C$6*30</f>
        <v>130800</v>
      </c>
      <c r="D15" s="24">
        <f>+C15*$C$5</f>
        <v>654000</v>
      </c>
      <c r="E15" s="24">
        <f t="shared" si="0"/>
        <v>667080</v>
      </c>
      <c r="F15" s="24">
        <f t="shared" si="0"/>
        <v>680421.6</v>
      </c>
      <c r="G15" s="24">
        <f t="shared" si="0"/>
        <v>694030.03200000001</v>
      </c>
      <c r="H15" s="24">
        <f t="shared" si="0"/>
        <v>707910.63263999997</v>
      </c>
      <c r="I15" s="24">
        <f t="shared" si="0"/>
        <v>722068.84529279999</v>
      </c>
      <c r="J15" s="24">
        <f t="shared" si="0"/>
        <v>736510.22219865595</v>
      </c>
      <c r="K15" s="24">
        <f t="shared" si="0"/>
        <v>751240.42664262909</v>
      </c>
      <c r="L15" s="24">
        <f t="shared" si="0"/>
        <v>766265.23517548165</v>
      </c>
      <c r="M15" s="24">
        <f t="shared" si="0"/>
        <v>781590.53987899132</v>
      </c>
      <c r="N15" s="24">
        <f>+SUM(D15:M15)</f>
        <v>7161117.5338285593</v>
      </c>
    </row>
    <row r="16" spans="1:15" x14ac:dyDescent="0.25">
      <c r="A16" s="25"/>
      <c r="B16" s="22" t="s">
        <v>26</v>
      </c>
      <c r="C16" s="20">
        <v>4900</v>
      </c>
      <c r="D16" s="24">
        <f>+C16*$C$5</f>
        <v>24500</v>
      </c>
      <c r="E16" s="24">
        <f t="shared" si="0"/>
        <v>24990</v>
      </c>
      <c r="F16" s="24">
        <f t="shared" si="0"/>
        <v>25489.8</v>
      </c>
      <c r="G16" s="24">
        <f t="shared" si="0"/>
        <v>25999.596000000001</v>
      </c>
      <c r="H16" s="24">
        <f t="shared" si="0"/>
        <v>26519.587920000002</v>
      </c>
      <c r="I16" s="24">
        <f t="shared" si="0"/>
        <v>27049.979678400003</v>
      </c>
      <c r="J16" s="24">
        <f t="shared" si="0"/>
        <v>27590.979271968004</v>
      </c>
      <c r="K16" s="24">
        <f t="shared" si="0"/>
        <v>28142.798857407364</v>
      </c>
      <c r="L16" s="24">
        <f t="shared" si="0"/>
        <v>28705.654834555513</v>
      </c>
      <c r="M16" s="24">
        <f t="shared" si="0"/>
        <v>29279.767931246624</v>
      </c>
      <c r="N16" s="24">
        <f>+SUM(D16:M16)</f>
        <v>268268.1644935775</v>
      </c>
    </row>
    <row r="17" spans="1:14" x14ac:dyDescent="0.25">
      <c r="A17" s="2"/>
      <c r="B17" s="2"/>
      <c r="C17" s="6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6" t="s">
        <v>27</v>
      </c>
      <c r="B18" s="2"/>
      <c r="C18" s="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7" t="s">
        <v>28</v>
      </c>
      <c r="B19" s="2"/>
      <c r="C19" s="6"/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15" t="s">
        <v>48</v>
      </c>
      <c r="B20" s="16" t="s">
        <v>29</v>
      </c>
      <c r="C20" s="20">
        <v>0</v>
      </c>
      <c r="D20" s="18">
        <f>+C20*$C$5</f>
        <v>0</v>
      </c>
      <c r="E20" s="18">
        <f t="shared" ref="E20:M21" si="1">+D20*(1+$C$8)</f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0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18">
        <f t="shared" si="1"/>
        <v>0</v>
      </c>
      <c r="N20" s="18">
        <f>+SUM(D20:M20)</f>
        <v>0</v>
      </c>
    </row>
    <row r="21" spans="1:14" x14ac:dyDescent="0.25">
      <c r="A21" s="29" t="s">
        <v>24</v>
      </c>
      <c r="B21" s="30" t="s">
        <v>30</v>
      </c>
      <c r="C21" s="20">
        <v>1000</v>
      </c>
      <c r="D21" s="24">
        <f>+C21*$C$5</f>
        <v>5000</v>
      </c>
      <c r="E21" s="24">
        <f t="shared" si="1"/>
        <v>5100</v>
      </c>
      <c r="F21" s="24">
        <f t="shared" si="1"/>
        <v>5202</v>
      </c>
      <c r="G21" s="24">
        <f t="shared" si="1"/>
        <v>5306.04</v>
      </c>
      <c r="H21" s="24">
        <f t="shared" si="1"/>
        <v>5412.1607999999997</v>
      </c>
      <c r="I21" s="24">
        <f t="shared" si="1"/>
        <v>5520.4040159999995</v>
      </c>
      <c r="J21" s="24">
        <f t="shared" si="1"/>
        <v>5630.8120963199999</v>
      </c>
      <c r="K21" s="24">
        <f t="shared" si="1"/>
        <v>5743.4283382464</v>
      </c>
      <c r="L21" s="24">
        <f t="shared" si="1"/>
        <v>5858.2969050113279</v>
      </c>
      <c r="M21" s="24">
        <f t="shared" si="1"/>
        <v>5975.4628431115543</v>
      </c>
      <c r="N21" s="24">
        <f>+SUM(D21:M21)</f>
        <v>54748.604998689276</v>
      </c>
    </row>
    <row r="22" spans="1:14" x14ac:dyDescent="0.25">
      <c r="A22" s="29"/>
      <c r="B22" s="30" t="s">
        <v>31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x14ac:dyDescent="0.25">
      <c r="A23" s="2"/>
      <c r="B23" s="2"/>
      <c r="C23" s="6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14" t="s">
        <v>32</v>
      </c>
      <c r="B24" s="2"/>
      <c r="C24" s="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 t="s">
        <v>33</v>
      </c>
      <c r="B25" s="2"/>
      <c r="C25" s="6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15" t="s">
        <v>48</v>
      </c>
      <c r="B26" s="16" t="s">
        <v>34</v>
      </c>
      <c r="C26" s="17">
        <f>$C$7*(10/60)</f>
        <v>16.666666666666664</v>
      </c>
      <c r="D26" s="18">
        <f>+C26*$C$5</f>
        <v>83.333333333333314</v>
      </c>
      <c r="E26" s="18">
        <f t="shared" ref="E26:M27" si="2">+D26*(1+$C$8)</f>
        <v>84.999999999999986</v>
      </c>
      <c r="F26" s="18">
        <f t="shared" si="2"/>
        <v>86.699999999999989</v>
      </c>
      <c r="G26" s="18">
        <f t="shared" si="2"/>
        <v>88.433999999999983</v>
      </c>
      <c r="H26" s="18">
        <f t="shared" si="2"/>
        <v>90.202679999999987</v>
      </c>
      <c r="I26" s="18">
        <f t="shared" si="2"/>
        <v>92.00673359999999</v>
      </c>
      <c r="J26" s="18">
        <f t="shared" si="2"/>
        <v>93.846868271999995</v>
      </c>
      <c r="K26" s="18">
        <f t="shared" si="2"/>
        <v>95.723805637439995</v>
      </c>
      <c r="L26" s="18">
        <f t="shared" si="2"/>
        <v>97.638281750188796</v>
      </c>
      <c r="M26" s="18">
        <f t="shared" si="2"/>
        <v>99.591047385192567</v>
      </c>
      <c r="N26" s="18">
        <f>+SUM(D26:M26)</f>
        <v>912.47674997815466</v>
      </c>
    </row>
    <row r="27" spans="1:14" x14ac:dyDescent="0.25">
      <c r="A27" s="21" t="s">
        <v>24</v>
      </c>
      <c r="B27" s="22" t="s">
        <v>35</v>
      </c>
      <c r="C27" s="23">
        <f>$C$7*(30/60)</f>
        <v>50</v>
      </c>
      <c r="D27" s="24">
        <f>+C27*$C$5</f>
        <v>250</v>
      </c>
      <c r="E27" s="24">
        <f t="shared" si="2"/>
        <v>255</v>
      </c>
      <c r="F27" s="24">
        <f t="shared" si="2"/>
        <v>260.10000000000002</v>
      </c>
      <c r="G27" s="24">
        <f t="shared" si="2"/>
        <v>265.30200000000002</v>
      </c>
      <c r="H27" s="24">
        <f t="shared" si="2"/>
        <v>270.60804000000002</v>
      </c>
      <c r="I27" s="24">
        <f t="shared" si="2"/>
        <v>276.0202008</v>
      </c>
      <c r="J27" s="24">
        <f t="shared" si="2"/>
        <v>281.54060481599998</v>
      </c>
      <c r="K27" s="24">
        <f t="shared" si="2"/>
        <v>287.17141691232001</v>
      </c>
      <c r="L27" s="24">
        <f t="shared" si="2"/>
        <v>292.91484525056643</v>
      </c>
      <c r="M27" s="24">
        <f t="shared" si="2"/>
        <v>298.77314215557777</v>
      </c>
      <c r="N27" s="24">
        <f>+SUM(D27:M27)</f>
        <v>2737.4302499344644</v>
      </c>
    </row>
    <row r="28" spans="1:14" x14ac:dyDescent="0.25">
      <c r="A28" s="2"/>
      <c r="B28" s="2"/>
      <c r="C28" s="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14" t="s">
        <v>36</v>
      </c>
      <c r="B29" s="2"/>
      <c r="C29" s="6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 t="s">
        <v>37</v>
      </c>
      <c r="B30" s="2"/>
      <c r="C30" s="6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15" t="s">
        <v>48</v>
      </c>
      <c r="B31" s="16" t="s">
        <v>38</v>
      </c>
      <c r="C31" s="17">
        <f>2.5*100</f>
        <v>250</v>
      </c>
      <c r="D31" s="18">
        <f>+C31</f>
        <v>250</v>
      </c>
      <c r="E31" s="18">
        <f t="shared" ref="E31:M32" si="3">+D31*(1+$C$8)</f>
        <v>255</v>
      </c>
      <c r="F31" s="18">
        <f t="shared" si="3"/>
        <v>260.10000000000002</v>
      </c>
      <c r="G31" s="18">
        <f t="shared" si="3"/>
        <v>265.30200000000002</v>
      </c>
      <c r="H31" s="18">
        <f t="shared" si="3"/>
        <v>270.60804000000002</v>
      </c>
      <c r="I31" s="18">
        <f t="shared" si="3"/>
        <v>276.0202008</v>
      </c>
      <c r="J31" s="18">
        <f t="shared" si="3"/>
        <v>281.54060481599998</v>
      </c>
      <c r="K31" s="18">
        <f t="shared" si="3"/>
        <v>287.17141691232001</v>
      </c>
      <c r="L31" s="18">
        <f t="shared" si="3"/>
        <v>292.91484525056643</v>
      </c>
      <c r="M31" s="18">
        <f t="shared" si="3"/>
        <v>298.77314215557777</v>
      </c>
      <c r="N31" s="18">
        <f>+SUM(D31:M31)</f>
        <v>2737.4302499344644</v>
      </c>
    </row>
    <row r="32" spans="1:14" x14ac:dyDescent="0.25">
      <c r="A32" s="21" t="s">
        <v>24</v>
      </c>
      <c r="B32" s="22" t="s">
        <v>39</v>
      </c>
      <c r="C32" s="23">
        <f>25*100</f>
        <v>2500</v>
      </c>
      <c r="D32" s="24">
        <f>+C32</f>
        <v>2500</v>
      </c>
      <c r="E32" s="24">
        <f t="shared" si="3"/>
        <v>2550</v>
      </c>
      <c r="F32" s="24">
        <f t="shared" si="3"/>
        <v>2601</v>
      </c>
      <c r="G32" s="24">
        <f t="shared" si="3"/>
        <v>2653.02</v>
      </c>
      <c r="H32" s="24">
        <f t="shared" si="3"/>
        <v>2706.0803999999998</v>
      </c>
      <c r="I32" s="24">
        <f t="shared" si="3"/>
        <v>2760.2020079999998</v>
      </c>
      <c r="J32" s="24">
        <f t="shared" si="3"/>
        <v>2815.40604816</v>
      </c>
      <c r="K32" s="24">
        <f t="shared" si="3"/>
        <v>2871.7141691232</v>
      </c>
      <c r="L32" s="24">
        <f t="shared" si="3"/>
        <v>2929.148452505664</v>
      </c>
      <c r="M32" s="24">
        <f t="shared" si="3"/>
        <v>2987.7314215557772</v>
      </c>
      <c r="N32" s="24">
        <f>+SUM(D32:M32)</f>
        <v>27374.302499344638</v>
      </c>
    </row>
    <row r="33" spans="1:14" x14ac:dyDescent="0.25">
      <c r="A33" s="2"/>
      <c r="B33" s="2"/>
      <c r="C33" s="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14" t="s">
        <v>40</v>
      </c>
      <c r="B34" s="2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 t="s">
        <v>41</v>
      </c>
      <c r="B35" s="2"/>
      <c r="C35" s="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15" t="s">
        <v>48</v>
      </c>
      <c r="B36" s="16" t="s">
        <v>42</v>
      </c>
      <c r="C36" s="20">
        <v>0</v>
      </c>
      <c r="D36" s="18"/>
      <c r="E36" s="18"/>
      <c r="F36" s="18"/>
      <c r="G36" s="18"/>
      <c r="H36" s="18">
        <f>+C36*(1+$C$8)^4</f>
        <v>0</v>
      </c>
      <c r="I36" s="18"/>
      <c r="J36" s="18"/>
      <c r="K36" s="18"/>
      <c r="L36" s="18"/>
      <c r="M36" s="18"/>
      <c r="N36" s="18">
        <f>+SUM(D36:M36)</f>
        <v>0</v>
      </c>
    </row>
    <row r="37" spans="1:14" x14ac:dyDescent="0.25">
      <c r="A37" s="21" t="s">
        <v>24</v>
      </c>
      <c r="B37" s="22" t="s">
        <v>43</v>
      </c>
      <c r="C37" s="20">
        <v>5000</v>
      </c>
      <c r="D37" s="24"/>
      <c r="E37" s="24"/>
      <c r="F37" s="24"/>
      <c r="G37" s="24"/>
      <c r="H37" s="24">
        <f>+C37*(1+$C$8)^4</f>
        <v>5412.1607999999997</v>
      </c>
      <c r="I37" s="24"/>
      <c r="J37" s="24"/>
      <c r="K37" s="24"/>
      <c r="L37" s="24"/>
      <c r="M37" s="24"/>
      <c r="N37" s="24">
        <f>+SUM(D37:M37)</f>
        <v>5412.1607999999997</v>
      </c>
    </row>
    <row r="38" spans="1:14" x14ac:dyDescent="0.25">
      <c r="A38" s="25"/>
      <c r="B38" s="22" t="s">
        <v>44</v>
      </c>
      <c r="C38" s="20">
        <v>8000</v>
      </c>
      <c r="D38" s="24"/>
      <c r="E38" s="24"/>
      <c r="F38" s="24"/>
      <c r="G38" s="24"/>
      <c r="H38" s="24">
        <f>+C38*(1+$C$8)^4</f>
        <v>8659.4572800000005</v>
      </c>
      <c r="I38" s="24"/>
      <c r="J38" s="24"/>
      <c r="K38" s="24"/>
      <c r="L38" s="24"/>
      <c r="M38" s="24"/>
      <c r="N38" s="24">
        <f>+SUM(D38:M38)</f>
        <v>8659.4572800000005</v>
      </c>
    </row>
    <row r="39" spans="1:14" x14ac:dyDescent="0.25">
      <c r="A39" s="2"/>
      <c r="B39" s="2"/>
      <c r="C39" s="2"/>
      <c r="D39" s="31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32" t="s">
        <v>45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15" t="s">
        <v>48</v>
      </c>
      <c r="B41" s="16" t="s">
        <v>46</v>
      </c>
      <c r="C41" s="17"/>
      <c r="D41" s="18">
        <f t="shared" ref="D41:N41" si="4">SUM(D13:D14,D20,D26,D31,D36)</f>
        <v>617333.33333333337</v>
      </c>
      <c r="E41" s="18">
        <f t="shared" si="4"/>
        <v>629680</v>
      </c>
      <c r="F41" s="18">
        <f t="shared" si="4"/>
        <v>642273.6</v>
      </c>
      <c r="G41" s="18">
        <f t="shared" si="4"/>
        <v>655119.07200000004</v>
      </c>
      <c r="H41" s="18">
        <f t="shared" si="4"/>
        <v>668221.45344000007</v>
      </c>
      <c r="I41" s="18">
        <f t="shared" si="4"/>
        <v>681585.88250880013</v>
      </c>
      <c r="J41" s="18">
        <f t="shared" si="4"/>
        <v>695217.60015897616</v>
      </c>
      <c r="K41" s="18">
        <f t="shared" si="4"/>
        <v>709121.95216215565</v>
      </c>
      <c r="L41" s="18">
        <f t="shared" si="4"/>
        <v>723304.3912053986</v>
      </c>
      <c r="M41" s="18">
        <f t="shared" si="4"/>
        <v>737770.47902950679</v>
      </c>
      <c r="N41" s="18">
        <f t="shared" si="4"/>
        <v>6759627.7638381692</v>
      </c>
    </row>
    <row r="42" spans="1:14" x14ac:dyDescent="0.25">
      <c r="A42" s="21" t="s">
        <v>24</v>
      </c>
      <c r="B42" s="22" t="s">
        <v>46</v>
      </c>
      <c r="C42" s="23"/>
      <c r="D42" s="24">
        <f t="shared" ref="D42:N42" si="5">SUM(D15:D16,D21,D27,D32,D37:D38)</f>
        <v>686250</v>
      </c>
      <c r="E42" s="24">
        <f t="shared" si="5"/>
        <v>699975</v>
      </c>
      <c r="F42" s="24">
        <f t="shared" si="5"/>
        <v>713974.5</v>
      </c>
      <c r="G42" s="24">
        <f t="shared" si="5"/>
        <v>728253.99000000011</v>
      </c>
      <c r="H42" s="24">
        <f t="shared" si="5"/>
        <v>756890.68787999975</v>
      </c>
      <c r="I42" s="24">
        <f t="shared" si="5"/>
        <v>757675.45119599998</v>
      </c>
      <c r="J42" s="24">
        <f t="shared" si="5"/>
        <v>772828.96021992003</v>
      </c>
      <c r="K42" s="24">
        <f t="shared" si="5"/>
        <v>788285.53942431847</v>
      </c>
      <c r="L42" s="24">
        <f t="shared" si="5"/>
        <v>804051.25021280465</v>
      </c>
      <c r="M42" s="24">
        <f t="shared" si="5"/>
        <v>820132.27521706093</v>
      </c>
      <c r="N42" s="24">
        <f t="shared" si="5"/>
        <v>7528317.6541501042</v>
      </c>
    </row>
    <row r="43" spans="1:14" ht="15.75" thickBot="1" x14ac:dyDescent="0.3">
      <c r="A43" s="2"/>
      <c r="B43" s="2"/>
      <c r="C43" s="2"/>
      <c r="D43" s="31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6.5" thickBot="1" x14ac:dyDescent="0.3">
      <c r="A44" s="2"/>
      <c r="B44" s="33" t="s">
        <v>47</v>
      </c>
      <c r="C44" s="34"/>
      <c r="D44" s="35">
        <f>+D41-D42</f>
        <v>-68916.666666666628</v>
      </c>
      <c r="E44" s="35">
        <f t="shared" ref="E44:N44" si="6">+E41-E42</f>
        <v>-70295</v>
      </c>
      <c r="F44" s="35">
        <f t="shared" si="6"/>
        <v>-71700.900000000023</v>
      </c>
      <c r="G44" s="35">
        <f t="shared" si="6"/>
        <v>-73134.918000000063</v>
      </c>
      <c r="H44" s="35">
        <f t="shared" si="6"/>
        <v>-88669.23443999968</v>
      </c>
      <c r="I44" s="35">
        <f t="shared" si="6"/>
        <v>-76089.568687199848</v>
      </c>
      <c r="J44" s="35">
        <f t="shared" si="6"/>
        <v>-77611.360060943873</v>
      </c>
      <c r="K44" s="35">
        <f t="shared" si="6"/>
        <v>-79163.587262162822</v>
      </c>
      <c r="L44" s="35">
        <f t="shared" si="6"/>
        <v>-80746.859007406048</v>
      </c>
      <c r="M44" s="35">
        <f t="shared" si="6"/>
        <v>-82361.796187554137</v>
      </c>
      <c r="N44" s="36">
        <f t="shared" si="6"/>
        <v>-768689.89031193499</v>
      </c>
    </row>
    <row r="45" spans="1:14" x14ac:dyDescent="0.25">
      <c r="A45" s="2"/>
      <c r="B45" s="2"/>
      <c r="C45" s="2"/>
      <c r="D45" s="37">
        <f>+D44/D42</f>
        <v>-0.10042501517911348</v>
      </c>
      <c r="E45" s="37">
        <f t="shared" ref="E45:N45" si="7">+E44/E42</f>
        <v>-0.10042501517911354</v>
      </c>
      <c r="F45" s="37">
        <f t="shared" si="7"/>
        <v>-0.10042501517911358</v>
      </c>
      <c r="G45" s="37">
        <f t="shared" si="7"/>
        <v>-0.10042501517911361</v>
      </c>
      <c r="H45" s="37">
        <f t="shared" si="7"/>
        <v>-0.11714932665951576</v>
      </c>
      <c r="I45" s="37">
        <f t="shared" si="7"/>
        <v>-0.10042501517911334</v>
      </c>
      <c r="J45" s="37">
        <f t="shared" si="7"/>
        <v>-0.10042501517911337</v>
      </c>
      <c r="K45" s="37">
        <f t="shared" si="7"/>
        <v>-0.10042501517911345</v>
      </c>
      <c r="L45" s="37">
        <f t="shared" si="7"/>
        <v>-0.10042501517911344</v>
      </c>
      <c r="M45" s="37">
        <f t="shared" si="7"/>
        <v>-0.10042501517911338</v>
      </c>
      <c r="N45" s="37">
        <f t="shared" si="7"/>
        <v>-0.1021064633063381</v>
      </c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ageMargins left="0.25" right="0.25" top="0.75" bottom="0.75" header="0.3" footer="0.3"/>
  <pageSetup scale="69" orientation="landscape" horizontalDpi="0" verticalDpi="0" r:id="rId1"/>
  <headerFooter>
    <oddFooter>&amp;L&amp;8
&amp;C#505 - 19th Avenue  Nisku, Alberta T9E 7V9
&amp;10Phone 780.955.3839  Fax 780.955.3835 
Copyright 2015 Desert Air Rentals Ltd. All Rights Reserved
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Analysis</vt:lpstr>
      <vt:lpstr>'Cost Analysis'!Print_Area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Desert Air Rentals Ltd.</dc:creator>
  <cp:lastModifiedBy>Desert Air Rentals Ltd.</cp:lastModifiedBy>
  <cp:lastPrinted>2015-11-18T03:13:09Z</cp:lastPrinted>
  <dcterms:created xsi:type="dcterms:W3CDTF">2015-11-18T03:12:05Z</dcterms:created>
  <dcterms:modified xsi:type="dcterms:W3CDTF">2015-11-21T21:37:44Z</dcterms:modified>
</cp:coreProperties>
</file>